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Leo Smith</author>
  </authors>
  <commentList>
    <comment ref="D10" authorId="0">
      <text>
        <r>
          <rPr>
            <b/>
            <sz val="8"/>
            <rFont val="Tahoma"/>
            <family val="0"/>
          </rPr>
          <t>Distance ratio for MAC point</t>
        </r>
      </text>
    </comment>
    <comment ref="D14" authorId="0">
      <text>
        <r>
          <rPr>
            <b/>
            <sz val="8"/>
            <rFont val="Tahoma"/>
            <family val="0"/>
          </rPr>
          <t>Distance ratio for MAC point</t>
        </r>
      </text>
    </comment>
    <comment ref="D18" authorId="0">
      <text>
        <r>
          <rPr>
            <b/>
            <sz val="8"/>
            <rFont val="Tahoma"/>
            <family val="0"/>
          </rPr>
          <t>Distance ratio for MAC point</t>
        </r>
      </text>
    </comment>
    <comment ref="D22" authorId="0">
      <text>
        <r>
          <rPr>
            <b/>
            <sz val="8"/>
            <rFont val="Tahoma"/>
            <family val="0"/>
          </rPr>
          <t>Distance ratio for MAC point</t>
        </r>
      </text>
    </comment>
    <comment ref="D30" authorId="0">
      <text>
        <r>
          <rPr>
            <b/>
            <sz val="8"/>
            <rFont val="Tahoma"/>
            <family val="0"/>
          </rPr>
          <t>Distance ratio for MAC point</t>
        </r>
      </text>
    </comment>
    <comment ref="D34" authorId="0">
      <text>
        <r>
          <rPr>
            <b/>
            <sz val="8"/>
            <rFont val="Tahoma"/>
            <family val="0"/>
          </rPr>
          <t>Distance ratio for MAC point</t>
        </r>
      </text>
    </comment>
    <comment ref="D38" authorId="0">
      <text>
        <r>
          <rPr>
            <b/>
            <sz val="8"/>
            <rFont val="Tahoma"/>
            <family val="0"/>
          </rPr>
          <t>Distance ratio for MAC point</t>
        </r>
      </text>
    </comment>
    <comment ref="D42" authorId="0">
      <text>
        <r>
          <rPr>
            <b/>
            <sz val="8"/>
            <rFont val="Tahoma"/>
            <family val="0"/>
          </rPr>
          <t>Distance ratio for MAC point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MAC value for segment
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MAC value for segment
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MAC value for segment
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MAC value for segment
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MAC value for segment
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MAC value for segment
</t>
        </r>
      </text>
    </comment>
    <comment ref="D39" authorId="0">
      <text>
        <r>
          <rPr>
            <b/>
            <sz val="8"/>
            <rFont val="Tahoma"/>
            <family val="0"/>
          </rPr>
          <t xml:space="preserve">MAC value for segment
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MAC value for segment
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Offset from LE datum of MAC fragment
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Offset from LE datum of MAC fragment
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Offset from LE datum of MAC fragment
</t>
        </r>
      </text>
    </comment>
    <comment ref="D32" authorId="0">
      <text>
        <r>
          <rPr>
            <b/>
            <sz val="8"/>
            <rFont val="Tahoma"/>
            <family val="0"/>
          </rPr>
          <t xml:space="preserve">Offset from LE datum of MAC fragment
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Offset from LE datum of MAC fragment
</t>
        </r>
      </text>
    </comment>
    <comment ref="D40" authorId="0">
      <text>
        <r>
          <rPr>
            <b/>
            <sz val="8"/>
            <rFont val="Tahoma"/>
            <family val="0"/>
          </rPr>
          <t xml:space="preserve">Offset from LE datum of MAC fragment
</t>
        </r>
      </text>
    </comment>
    <comment ref="D44" authorId="0">
      <text>
        <r>
          <rPr>
            <b/>
            <sz val="8"/>
            <rFont val="Tahoma"/>
            <family val="0"/>
          </rPr>
          <t xml:space="preserve">Offset from LE datum of MAC fragment
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Average chord for area calcs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Average chord for area calcs
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Average chord for area calcs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Average chord for area calcs
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Average chord for area calcs
</t>
        </r>
      </text>
    </comment>
    <comment ref="D33" authorId="0">
      <text>
        <r>
          <rPr>
            <b/>
            <sz val="8"/>
            <rFont val="Tahoma"/>
            <family val="0"/>
          </rPr>
          <t xml:space="preserve">Average chord for area calcs
</t>
        </r>
      </text>
    </comment>
    <comment ref="D37" authorId="0">
      <text>
        <r>
          <rPr>
            <b/>
            <sz val="8"/>
            <rFont val="Tahoma"/>
            <family val="0"/>
          </rPr>
          <t xml:space="preserve">Average chord for area calcs
</t>
        </r>
      </text>
    </comment>
    <comment ref="D41" authorId="0">
      <text>
        <r>
          <rPr>
            <b/>
            <sz val="8"/>
            <rFont val="Tahoma"/>
            <family val="0"/>
          </rPr>
          <t xml:space="preserve">Average chord for area calcs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MAC value
</t>
        </r>
      </text>
    </comment>
    <comment ref="D8" authorId="0">
      <text>
        <r>
          <rPr>
            <b/>
            <sz val="8"/>
            <rFont val="Tahoma"/>
            <family val="0"/>
          </rPr>
          <t>MAC offset from LE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Offset from LE datum of MAC fragment
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MAC value
</t>
        </r>
      </text>
    </comment>
    <comment ref="D28" authorId="0">
      <text>
        <r>
          <rPr>
            <b/>
            <sz val="8"/>
            <rFont val="Tahoma"/>
            <family val="0"/>
          </rPr>
          <t>MAC offset from LE</t>
        </r>
      </text>
    </comment>
    <comment ref="D47" authorId="0">
      <text>
        <r>
          <rPr>
            <b/>
            <sz val="8"/>
            <rFont val="Tahoma"/>
            <family val="0"/>
          </rPr>
          <t xml:space="preserve">Moment arm - distance between 25% MAC
</t>
        </r>
      </text>
    </comment>
    <comment ref="B3" authorId="0">
      <text>
        <r>
          <rPr>
            <b/>
            <sz val="8"/>
            <rFont val="Tahoma"/>
            <family val="0"/>
          </rPr>
          <t>CG as measured from leading edge of ROOT</t>
        </r>
      </text>
    </comment>
    <comment ref="B4" authorId="0">
      <text>
        <r>
          <rPr>
            <b/>
            <sz val="8"/>
            <rFont val="Tahoma"/>
            <family val="0"/>
          </rPr>
          <t>As a proportion of root chord…may be negative or exceed 100%.</t>
        </r>
      </text>
    </comment>
  </commentList>
</comments>
</file>

<file path=xl/sharedStrings.xml><?xml version="1.0" encoding="utf-8"?>
<sst xmlns="http://schemas.openxmlformats.org/spreadsheetml/2006/main" count="50" uniqueCount="25">
  <si>
    <t>Root chord</t>
  </si>
  <si>
    <t>Tailplane span</t>
  </si>
  <si>
    <t>Tailplane root chord</t>
  </si>
  <si>
    <t>Wingspan</t>
  </si>
  <si>
    <t>subspan</t>
  </si>
  <si>
    <t>subchord</t>
  </si>
  <si>
    <t>sweep from root LE</t>
  </si>
  <si>
    <t>TAILPLANE</t>
  </si>
  <si>
    <t>FUSELAGE</t>
  </si>
  <si>
    <t>AREA(s)</t>
  </si>
  <si>
    <t>(Use negative values for canards)</t>
  </si>
  <si>
    <t>Intermediate 4 (tip if all datums used)</t>
  </si>
  <si>
    <t>Intermediate 1 (tip if no further datums used)</t>
  </si>
  <si>
    <t>Intermediate 2 (tip if no further datums used)</t>
  </si>
  <si>
    <t>Intermediate 3 (tip if no further datums used)</t>
  </si>
  <si>
    <t>Distance between wing and tailplane root LE's.</t>
  </si>
  <si>
    <t>MAC info</t>
  </si>
  <si>
    <t>Vintage 1's CG calculator</t>
  </si>
  <si>
    <t>X</t>
  </si>
  <si>
    <t>Y</t>
  </si>
  <si>
    <t>Scale</t>
  </si>
  <si>
    <t>Offset</t>
  </si>
  <si>
    <t>WING Area</t>
  </si>
  <si>
    <t>CG location from Root LE</t>
  </si>
  <si>
    <t>CG as percentage of root chord from root 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</si>
</sst>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0"/>
      <color indexed="43"/>
      <name val="Arial"/>
      <family val="2"/>
    </font>
    <font>
      <b/>
      <i/>
      <sz val="8"/>
      <name val="Arial"/>
      <family val="2"/>
    </font>
    <font>
      <b/>
      <sz val="16.75"/>
      <name val="Arial"/>
      <family val="0"/>
    </font>
    <font>
      <b/>
      <sz val="11.5"/>
      <name val="Arial"/>
      <family val="0"/>
    </font>
    <font>
      <sz val="8.75"/>
      <name val="Arial"/>
      <family val="2"/>
    </font>
    <font>
      <sz val="11.5"/>
      <name val="Arial"/>
      <family val="0"/>
    </font>
    <font>
      <sz val="12"/>
      <name val="Arial"/>
      <family val="0"/>
    </font>
    <font>
      <b/>
      <sz val="10"/>
      <color indexed="13"/>
      <name val="Arial"/>
      <family val="2"/>
    </font>
    <font>
      <b/>
      <u val="single"/>
      <sz val="2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 applyProtection="1">
      <alignment/>
      <protection/>
    </xf>
    <xf numFmtId="2" fontId="1" fillId="2" borderId="0" xfId="0" applyNumberFormat="1" applyFont="1" applyFill="1" applyAlignment="1">
      <alignment/>
    </xf>
    <xf numFmtId="2" fontId="0" fillId="2" borderId="0" xfId="0" applyNumberFormat="1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 locked="0"/>
    </xf>
    <xf numFmtId="2" fontId="1" fillId="2" borderId="0" xfId="0" applyNumberFormat="1" applyFont="1" applyFill="1" applyAlignment="1" applyProtection="1">
      <alignment/>
      <protection locked="0"/>
    </xf>
    <xf numFmtId="2" fontId="0" fillId="3" borderId="1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2" fontId="5" fillId="2" borderId="0" xfId="0" applyNumberFormat="1" applyFont="1" applyFill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" fontId="12" fillId="4" borderId="1" xfId="0" applyNumberFormat="1" applyFont="1" applyFill="1" applyBorder="1" applyAlignment="1">
      <alignment/>
    </xf>
    <xf numFmtId="10" fontId="12" fillId="4" borderId="1" xfId="0" applyNumberFormat="1" applyFont="1" applyFill="1" applyBorder="1" applyAlignment="1" applyProtection="1">
      <alignment/>
      <protection/>
    </xf>
    <xf numFmtId="2" fontId="12" fillId="4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Model planform</a:t>
            </a:r>
          </a:p>
        </c:rich>
      </c:tx>
      <c:layout>
        <c:manualLayout>
          <c:xMode val="factor"/>
          <c:yMode val="factor"/>
          <c:x val="-0.072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475"/>
          <c:w val="0.7595"/>
          <c:h val="0.831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Sheet1!$E$5:$E$44</c:f>
              <c:numCache>
                <c:ptCount val="40"/>
                <c:pt idx="0">
                  <c:v>0</c:v>
                </c:pt>
                <c:pt idx="1">
                  <c:v>10</c:v>
                </c:pt>
                <c:pt idx="2">
                  <c:v>23.5</c:v>
                </c:pt>
                <c:pt idx="3">
                  <c:v>42</c:v>
                </c:pt>
                <c:pt idx="4">
                  <c:v>43</c:v>
                </c:pt>
                <c:pt idx="5">
                  <c:v>43</c:v>
                </c:pt>
                <c:pt idx="6">
                  <c:v>42</c:v>
                </c:pt>
                <c:pt idx="7">
                  <c:v>23.5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22.5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22.5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-10</c:v>
                </c:pt>
                <c:pt idx="22">
                  <c:v>-23.5</c:v>
                </c:pt>
                <c:pt idx="23">
                  <c:v>-42</c:v>
                </c:pt>
                <c:pt idx="24">
                  <c:v>-43</c:v>
                </c:pt>
                <c:pt idx="25">
                  <c:v>-43</c:v>
                </c:pt>
                <c:pt idx="26">
                  <c:v>-42</c:v>
                </c:pt>
                <c:pt idx="27">
                  <c:v>-23.5</c:v>
                </c:pt>
                <c:pt idx="28">
                  <c:v>-10</c:v>
                </c:pt>
                <c:pt idx="29">
                  <c:v>0</c:v>
                </c:pt>
                <c:pt idx="30">
                  <c:v>0</c:v>
                </c:pt>
                <c:pt idx="31">
                  <c:v>-2</c:v>
                </c:pt>
                <c:pt idx="32">
                  <c:v>-22.5</c:v>
                </c:pt>
                <c:pt idx="33">
                  <c:v>-25</c:v>
                </c:pt>
                <c:pt idx="34">
                  <c:v>-25</c:v>
                </c:pt>
                <c:pt idx="35">
                  <c:v>-25</c:v>
                </c:pt>
                <c:pt idx="36">
                  <c:v>-25</c:v>
                </c:pt>
                <c:pt idx="37">
                  <c:v>-22.5</c:v>
                </c:pt>
                <c:pt idx="38">
                  <c:v>-2</c:v>
                </c:pt>
                <c:pt idx="39">
                  <c:v>0</c:v>
                </c:pt>
              </c:numCache>
            </c:numRef>
          </c:xVal>
          <c:yVal>
            <c:numRef>
              <c:f>Sheet1!$F$5:$F$44</c:f>
              <c:numCache>
                <c:ptCount val="40"/>
                <c:pt idx="0">
                  <c:v>0</c:v>
                </c:pt>
                <c:pt idx="1">
                  <c:v>-0.2</c:v>
                </c:pt>
                <c:pt idx="2">
                  <c:v>0</c:v>
                </c:pt>
                <c:pt idx="3">
                  <c:v>-2</c:v>
                </c:pt>
                <c:pt idx="4">
                  <c:v>-4</c:v>
                </c:pt>
                <c:pt idx="5">
                  <c:v>-8</c:v>
                </c:pt>
                <c:pt idx="6">
                  <c:v>-8</c:v>
                </c:pt>
                <c:pt idx="7">
                  <c:v>-9</c:v>
                </c:pt>
                <c:pt idx="8">
                  <c:v>-9.2</c:v>
                </c:pt>
                <c:pt idx="9">
                  <c:v>-9</c:v>
                </c:pt>
                <c:pt idx="10">
                  <c:v>-30</c:v>
                </c:pt>
                <c:pt idx="11">
                  <c:v>-30</c:v>
                </c:pt>
                <c:pt idx="12">
                  <c:v>-32.5</c:v>
                </c:pt>
                <c:pt idx="13">
                  <c:v>-34</c:v>
                </c:pt>
                <c:pt idx="14">
                  <c:v>-34</c:v>
                </c:pt>
                <c:pt idx="15">
                  <c:v>-37</c:v>
                </c:pt>
                <c:pt idx="16">
                  <c:v>-37</c:v>
                </c:pt>
                <c:pt idx="17">
                  <c:v>-38.5</c:v>
                </c:pt>
                <c:pt idx="18">
                  <c:v>-38</c:v>
                </c:pt>
                <c:pt idx="19">
                  <c:v>-35</c:v>
                </c:pt>
                <c:pt idx="20">
                  <c:v>0</c:v>
                </c:pt>
                <c:pt idx="21">
                  <c:v>-0.2</c:v>
                </c:pt>
                <c:pt idx="22">
                  <c:v>0</c:v>
                </c:pt>
                <c:pt idx="23">
                  <c:v>-2</c:v>
                </c:pt>
                <c:pt idx="24">
                  <c:v>-4</c:v>
                </c:pt>
                <c:pt idx="25">
                  <c:v>-8</c:v>
                </c:pt>
                <c:pt idx="26">
                  <c:v>-8</c:v>
                </c:pt>
                <c:pt idx="27">
                  <c:v>-9</c:v>
                </c:pt>
                <c:pt idx="28">
                  <c:v>-9.2</c:v>
                </c:pt>
                <c:pt idx="29">
                  <c:v>-9</c:v>
                </c:pt>
                <c:pt idx="30">
                  <c:v>-30</c:v>
                </c:pt>
                <c:pt idx="31">
                  <c:v>-30</c:v>
                </c:pt>
                <c:pt idx="32">
                  <c:v>-32.5</c:v>
                </c:pt>
                <c:pt idx="33">
                  <c:v>-34</c:v>
                </c:pt>
                <c:pt idx="34">
                  <c:v>-34</c:v>
                </c:pt>
                <c:pt idx="35">
                  <c:v>-37</c:v>
                </c:pt>
                <c:pt idx="36">
                  <c:v>-37</c:v>
                </c:pt>
                <c:pt idx="37">
                  <c:v>-38.5</c:v>
                </c:pt>
                <c:pt idx="38">
                  <c:v>-38</c:v>
                </c:pt>
                <c:pt idx="39">
                  <c:v>-35</c:v>
                </c:pt>
              </c:numCache>
            </c:numRef>
          </c:yVal>
          <c:smooth val="0"/>
        </c:ser>
        <c:ser>
          <c:idx val="1"/>
          <c:order val="1"/>
          <c:tx>
            <c:v>CG location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Sheet1!$G$6:$G$10</c:f>
              <c:numCache>
                <c:ptCount val="5"/>
                <c:pt idx="0">
                  <c:v>8.6</c:v>
                </c:pt>
                <c:pt idx="1">
                  <c:v>-8.6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Sheet1!$H$6:$H$10</c:f>
              <c:numCache>
                <c:ptCount val="5"/>
                <c:pt idx="0">
                  <c:v>-6.941042825965025</c:v>
                </c:pt>
                <c:pt idx="1">
                  <c:v>-6.941042825965025</c:v>
                </c:pt>
                <c:pt idx="2">
                  <c:v>-6.941042825965025</c:v>
                </c:pt>
                <c:pt idx="3">
                  <c:v>1.658957174034975</c:v>
                </c:pt>
                <c:pt idx="4">
                  <c:v>-15.541042825965025</c:v>
                </c:pt>
              </c:numCache>
            </c:numRef>
          </c:yVal>
          <c:smooth val="0"/>
        </c:ser>
        <c:axId val="36673488"/>
        <c:axId val="61625937"/>
      </c:scatterChart>
      <c:valAx>
        <c:axId val="3667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Spanwise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1625937"/>
        <c:crosses val="max"/>
        <c:crossBetween val="midCat"/>
        <c:dispUnits/>
      </c:valAx>
      <c:valAx>
        <c:axId val="61625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667348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0</xdr:rowOff>
    </xdr:from>
    <xdr:to>
      <xdr:col>13</xdr:col>
      <xdr:colOff>533400</xdr:colOff>
      <xdr:row>47</xdr:row>
      <xdr:rowOff>9525</xdr:rowOff>
    </xdr:to>
    <xdr:graphicFrame>
      <xdr:nvGraphicFramePr>
        <xdr:cNvPr id="1" name="Chart 57"/>
        <xdr:cNvGraphicFramePr/>
      </xdr:nvGraphicFramePr>
      <xdr:xfrm>
        <a:off x="3933825" y="571500"/>
        <a:ext cx="739140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0" zoomScaleNormal="80" workbookViewId="0" topLeftCell="A1">
      <selection activeCell="A40" sqref="A40"/>
    </sheetView>
  </sheetViews>
  <sheetFormatPr defaultColWidth="9.140625" defaultRowHeight="12.75"/>
  <cols>
    <col min="1" max="1" width="47.28125" style="1" bestFit="1" customWidth="1"/>
    <col min="2" max="2" width="11.00390625" style="2" customWidth="1"/>
    <col min="3" max="4" width="9.140625" style="2" customWidth="1"/>
    <col min="5" max="5" width="12.140625" style="12" customWidth="1"/>
    <col min="6" max="6" width="9.140625" style="12" customWidth="1"/>
    <col min="7" max="16384" width="9.140625" style="1" customWidth="1"/>
  </cols>
  <sheetData>
    <row r="1" spans="2:7" ht="30">
      <c r="B1" s="19" t="s">
        <v>17</v>
      </c>
      <c r="C1" s="14"/>
      <c r="D1" s="14"/>
      <c r="E1" s="15"/>
      <c r="F1" s="15"/>
      <c r="G1" s="20"/>
    </row>
    <row r="2" spans="2:7" ht="15" customHeight="1">
      <c r="B2" s="19"/>
      <c r="C2" s="14"/>
      <c r="D2" s="14"/>
      <c r="E2" s="15"/>
      <c r="F2" s="15"/>
      <c r="G2" s="20"/>
    </row>
    <row r="3" spans="1:6" s="3" customFormat="1" ht="15.75" customHeight="1">
      <c r="A3" s="3" t="s">
        <v>23</v>
      </c>
      <c r="B3" s="21">
        <f>D8+(D7/6+(3*C25*D47)/(8*B5))</f>
        <v>6.941042825965025</v>
      </c>
      <c r="C3" s="17"/>
      <c r="D3" s="17"/>
      <c r="E3" s="18"/>
      <c r="F3" s="18"/>
    </row>
    <row r="4" spans="1:8" s="3" customFormat="1" ht="12.75">
      <c r="A4" s="3" t="s">
        <v>24</v>
      </c>
      <c r="B4" s="22">
        <f>B3/B7</f>
        <v>0.7712269806627805</v>
      </c>
      <c r="C4" s="5" t="s">
        <v>9</v>
      </c>
      <c r="D4" s="5" t="s">
        <v>16</v>
      </c>
      <c r="E4" s="11" t="s">
        <v>18</v>
      </c>
      <c r="F4" s="11" t="s">
        <v>19</v>
      </c>
      <c r="G4" s="11" t="s">
        <v>20</v>
      </c>
      <c r="H4" s="11" t="s">
        <v>21</v>
      </c>
    </row>
    <row r="5" spans="1:8" s="3" customFormat="1" ht="12.75">
      <c r="A5" s="3" t="s">
        <v>22</v>
      </c>
      <c r="B5" s="23">
        <f>(C9+C13+C17+C21)</f>
        <v>710.5</v>
      </c>
      <c r="C5" s="16"/>
      <c r="D5" s="5"/>
      <c r="E5" s="12">
        <v>0</v>
      </c>
      <c r="F5" s="12">
        <v>0</v>
      </c>
      <c r="G5" s="5">
        <f>MAX(B6,B11+B12,B15+B16,B19+B20,B23+B24,B47+B31+B32,B47+B35+B36,B47+B39+B40,B47+B43+B44)-MIN(0,B12,B16,B20,B24,B47)</f>
        <v>86</v>
      </c>
      <c r="H5" s="5">
        <f>MIN(0,B12,B16,B20,B24,B47)</f>
        <v>0</v>
      </c>
    </row>
    <row r="6" spans="1:8" ht="12.75">
      <c r="A6" s="1" t="s">
        <v>3</v>
      </c>
      <c r="B6" s="23">
        <f>MAX(B10,B14,B18,B22)</f>
        <v>86</v>
      </c>
      <c r="E6" s="12">
        <f>B10/2</f>
        <v>10</v>
      </c>
      <c r="F6" s="13">
        <f>-B12</f>
        <v>-0.2</v>
      </c>
      <c r="G6" s="1">
        <f>G5/10</f>
        <v>8.6</v>
      </c>
      <c r="H6" s="2">
        <f>-B3</f>
        <v>-6.941042825965025</v>
      </c>
    </row>
    <row r="7" spans="1:8" ht="12.75">
      <c r="A7" s="1" t="s">
        <v>0</v>
      </c>
      <c r="B7" s="9">
        <v>9</v>
      </c>
      <c r="D7" s="2">
        <f>(D11*C9+D15*C13+D19*C17+D23*C21)/B5</f>
        <v>8.397841895378841</v>
      </c>
      <c r="E7" s="12">
        <f>IF(C13&gt;0,B14/2,E6)</f>
        <v>23.5</v>
      </c>
      <c r="F7" s="13">
        <f>IF(C13&gt;0,-B16,F6)</f>
        <v>0</v>
      </c>
      <c r="G7" s="1">
        <f>-G6</f>
        <v>-8.6</v>
      </c>
      <c r="H7" s="2">
        <f>H6</f>
        <v>-6.941042825965025</v>
      </c>
    </row>
    <row r="8" spans="2:8" ht="12.75">
      <c r="B8" s="10"/>
      <c r="D8" s="2">
        <f>(D12*C9+D16*C13+D20*C17+D24*C21)/B5</f>
        <v>0.46535303776683085</v>
      </c>
      <c r="E8" s="12">
        <f>IF(C17&gt;0,B18/2,E7)</f>
        <v>42</v>
      </c>
      <c r="F8" s="13">
        <f>IF(C17&gt;0,-B20,F7)</f>
        <v>-2</v>
      </c>
      <c r="G8" s="1">
        <v>0</v>
      </c>
      <c r="H8" s="2">
        <f>H6</f>
        <v>-6.941042825965025</v>
      </c>
    </row>
    <row r="9" spans="1:8" s="3" customFormat="1" ht="12.75">
      <c r="A9" s="3" t="s">
        <v>12</v>
      </c>
      <c r="B9" s="4"/>
      <c r="C9" s="5">
        <f>IF(B10&gt;0,D9*B10,0)</f>
        <v>180</v>
      </c>
      <c r="D9" s="5">
        <f>(B7+B11)/2</f>
        <v>9</v>
      </c>
      <c r="E9" s="12">
        <f>IF(C21&gt;0,B22/2,E8)</f>
        <v>43</v>
      </c>
      <c r="F9" s="13">
        <f>IF(C21&gt;0,-B24,F8)</f>
        <v>-4</v>
      </c>
      <c r="G9" s="3">
        <v>0</v>
      </c>
      <c r="H9" s="5">
        <f>G6-B3</f>
        <v>1.658957174034975</v>
      </c>
    </row>
    <row r="10" spans="1:8" ht="12.75">
      <c r="A10" s="1" t="s">
        <v>4</v>
      </c>
      <c r="B10" s="9">
        <v>20</v>
      </c>
      <c r="D10" s="2">
        <f>IF(OR(B7&gt;0,B11&gt;0),(B7+2*B11)/(3*B7+3*B11),0)</f>
        <v>0.5</v>
      </c>
      <c r="E10" s="12">
        <f>E9</f>
        <v>43</v>
      </c>
      <c r="F10" s="13">
        <f>IF(C21&gt;0,F9-B23,F11)</f>
        <v>-8</v>
      </c>
      <c r="G10" s="1">
        <v>0</v>
      </c>
      <c r="H10" s="2">
        <f>G7-B3</f>
        <v>-15.541042825965025</v>
      </c>
    </row>
    <row r="11" spans="1:6" ht="12.75">
      <c r="A11" s="1" t="s">
        <v>5</v>
      </c>
      <c r="B11" s="9">
        <v>9</v>
      </c>
      <c r="D11" s="2">
        <f>(D10*B11+(1-D10)*B7)</f>
        <v>9</v>
      </c>
      <c r="E11" s="12">
        <f>E8</f>
        <v>42</v>
      </c>
      <c r="F11" s="13">
        <f>IF(C17&gt;0,F8-B19,F12)</f>
        <v>-8</v>
      </c>
    </row>
    <row r="12" spans="1:6" ht="12.75">
      <c r="A12" s="1" t="s">
        <v>6</v>
      </c>
      <c r="B12" s="9">
        <v>0.2</v>
      </c>
      <c r="D12" s="2">
        <f>B8+(D10*(B12-B8))</f>
        <v>0.1</v>
      </c>
      <c r="E12" s="12">
        <f>E7</f>
        <v>23.5</v>
      </c>
      <c r="F12" s="13">
        <f>IF(C13&gt;0,F7-B15,F13)</f>
        <v>-9</v>
      </c>
    </row>
    <row r="13" spans="1:6" s="3" customFormat="1" ht="12.75">
      <c r="A13" s="3" t="s">
        <v>13</v>
      </c>
      <c r="B13" s="4"/>
      <c r="C13" s="5">
        <f>IF(B14&gt;0,(B11+B15)*(B14-B10)/2,0)</f>
        <v>243</v>
      </c>
      <c r="D13" s="5">
        <f>(B11+B15)/2</f>
        <v>9</v>
      </c>
      <c r="E13" s="12">
        <f>E6</f>
        <v>10</v>
      </c>
      <c r="F13" s="13">
        <f>F6-B11</f>
        <v>-9.2</v>
      </c>
    </row>
    <row r="14" spans="1:6" ht="12.75">
      <c r="A14" s="1" t="s">
        <v>4</v>
      </c>
      <c r="B14" s="9">
        <v>47</v>
      </c>
      <c r="D14" s="2">
        <f>IF(OR(B11&gt;0,B15&gt;0),(B11+2*B15)/(3*B11+3*B15),0)</f>
        <v>0.5</v>
      </c>
      <c r="E14" s="12">
        <f>E5</f>
        <v>0</v>
      </c>
      <c r="F14" s="13">
        <f>F5-B7</f>
        <v>-9</v>
      </c>
    </row>
    <row r="15" spans="1:6" ht="12.75">
      <c r="A15" s="1" t="s">
        <v>5</v>
      </c>
      <c r="B15" s="9">
        <v>9</v>
      </c>
      <c r="D15" s="2">
        <f>(D14*B15+(1-D14)*B11)</f>
        <v>9</v>
      </c>
      <c r="E15" s="12">
        <v>0</v>
      </c>
      <c r="F15" s="13">
        <f>-B47</f>
        <v>-30</v>
      </c>
    </row>
    <row r="16" spans="1:6" ht="12.75">
      <c r="A16" s="1" t="s">
        <v>6</v>
      </c>
      <c r="B16" s="9">
        <v>0</v>
      </c>
      <c r="D16" s="2">
        <f>B12+(D14*(B16-B12))</f>
        <v>0.1</v>
      </c>
      <c r="E16" s="12">
        <f>B30/2</f>
        <v>2</v>
      </c>
      <c r="F16" s="13">
        <f>-B47-B32</f>
        <v>-30</v>
      </c>
    </row>
    <row r="17" spans="1:6" s="3" customFormat="1" ht="12.75">
      <c r="A17" s="3" t="s">
        <v>14</v>
      </c>
      <c r="B17" s="4"/>
      <c r="C17" s="5">
        <f>IF(B18&gt;0,(B15+B19)*(B18-B14)/2,0)</f>
        <v>277.5</v>
      </c>
      <c r="D17" s="5">
        <f>(B15+B19)/2</f>
        <v>7.5</v>
      </c>
      <c r="E17" s="12">
        <f>IF(C33&gt;0,B34/2,E16)</f>
        <v>22.5</v>
      </c>
      <c r="F17" s="13">
        <f>IF(C33&gt;0,-B47-B36,F16)</f>
        <v>-32.5</v>
      </c>
    </row>
    <row r="18" spans="1:6" ht="12.75">
      <c r="A18" s="1" t="s">
        <v>4</v>
      </c>
      <c r="B18" s="9">
        <v>84</v>
      </c>
      <c r="D18" s="2">
        <f>IF(OR(B15&gt;0,B19&gt;0),(B15+2*B19)/(3*B15+3*B19),0)</f>
        <v>0.4666666666666667</v>
      </c>
      <c r="E18" s="12">
        <f>IF(C37&gt;0,B38/2,E17)</f>
        <v>25</v>
      </c>
      <c r="F18" s="13">
        <f>IF(C37&gt;0,-B47-B40,F17)</f>
        <v>-34</v>
      </c>
    </row>
    <row r="19" spans="1:6" ht="12.75">
      <c r="A19" s="1" t="s">
        <v>5</v>
      </c>
      <c r="B19" s="9">
        <v>6</v>
      </c>
      <c r="D19" s="2">
        <f>(D18*B19+(1-D18)*B15)</f>
        <v>7.6</v>
      </c>
      <c r="E19" s="12">
        <f>IF(C41&gt;0,B42/2,E18)</f>
        <v>25</v>
      </c>
      <c r="F19" s="13">
        <f>IF(C41&gt;0,-B47-B44,F18)</f>
        <v>-34</v>
      </c>
    </row>
    <row r="20" spans="1:6" ht="12.75">
      <c r="A20" s="1" t="s">
        <v>6</v>
      </c>
      <c r="B20" s="9">
        <v>2</v>
      </c>
      <c r="D20" s="2">
        <f>B16+(D18*(B20-B16))</f>
        <v>0.9333333333333333</v>
      </c>
      <c r="E20" s="12">
        <f>E19</f>
        <v>25</v>
      </c>
      <c r="F20" s="13">
        <f>IF(C41&gt;0,F19-B43,F21)</f>
        <v>-37</v>
      </c>
    </row>
    <row r="21" spans="1:6" s="3" customFormat="1" ht="12.75">
      <c r="A21" s="3" t="s">
        <v>11</v>
      </c>
      <c r="B21" s="4"/>
      <c r="C21" s="5">
        <f>IF(B22&gt;0,(B19+B23)*(B22-B18)/2,0)</f>
        <v>10</v>
      </c>
      <c r="D21" s="5">
        <f>(B19+B23)/2</f>
        <v>5</v>
      </c>
      <c r="E21" s="12">
        <f>E18</f>
        <v>25</v>
      </c>
      <c r="F21" s="13">
        <f>IF(C37&gt;0,F18-B39,F22)</f>
        <v>-37</v>
      </c>
    </row>
    <row r="22" spans="1:6" ht="12.75">
      <c r="A22" s="1" t="s">
        <v>4</v>
      </c>
      <c r="B22" s="9">
        <v>86</v>
      </c>
      <c r="D22" s="2">
        <f>IF(OR(B19&gt;0,B23&gt;0),(B19+2*B23)/(3*B19+3*B23),0)</f>
        <v>0.4666666666666667</v>
      </c>
      <c r="E22" s="12">
        <f>E17</f>
        <v>22.5</v>
      </c>
      <c r="F22" s="13">
        <f>IF(C33&gt;0,F17-B35,F23)</f>
        <v>-38.5</v>
      </c>
    </row>
    <row r="23" spans="1:6" ht="12.75">
      <c r="A23" s="1" t="s">
        <v>5</v>
      </c>
      <c r="B23" s="9">
        <v>4</v>
      </c>
      <c r="D23" s="2">
        <f>(D22*B23+(1-D22)*B19)</f>
        <v>5.066666666666666</v>
      </c>
      <c r="E23" s="12">
        <f>E16</f>
        <v>2</v>
      </c>
      <c r="F23" s="13">
        <f>F16-B31</f>
        <v>-38</v>
      </c>
    </row>
    <row r="24" spans="1:6" ht="12.75">
      <c r="A24" s="1" t="s">
        <v>6</v>
      </c>
      <c r="B24" s="9">
        <v>4</v>
      </c>
      <c r="D24" s="2">
        <f>B20+(D22*(B24-B20))</f>
        <v>2.9333333333333336</v>
      </c>
      <c r="E24" s="12">
        <f>E15</f>
        <v>0</v>
      </c>
      <c r="F24" s="13">
        <f>F15-B27</f>
        <v>-35</v>
      </c>
    </row>
    <row r="25" spans="1:6" s="3" customFormat="1" ht="12.75">
      <c r="A25" s="3" t="s">
        <v>7</v>
      </c>
      <c r="B25" s="4"/>
      <c r="C25" s="5">
        <f>(C29+C33+C37+C41)</f>
        <v>335.5</v>
      </c>
      <c r="D25" s="5"/>
      <c r="E25" s="12">
        <f>-E5</f>
        <v>0</v>
      </c>
      <c r="F25" s="12">
        <f>F5</f>
        <v>0</v>
      </c>
    </row>
    <row r="26" spans="1:6" ht="12.75">
      <c r="A26" s="1" t="s">
        <v>1</v>
      </c>
      <c r="B26" s="5">
        <f>MAX(B30,B34,B38,B42)</f>
        <v>50</v>
      </c>
      <c r="E26" s="12">
        <f aca="true" t="shared" si="0" ref="E26:E43">-E6</f>
        <v>-10</v>
      </c>
      <c r="F26" s="12">
        <f aca="true" t="shared" si="1" ref="F26:F44">F6</f>
        <v>-0.2</v>
      </c>
    </row>
    <row r="27" spans="1:6" ht="12.75">
      <c r="A27" s="1" t="s">
        <v>2</v>
      </c>
      <c r="B27" s="9">
        <v>5</v>
      </c>
      <c r="D27" s="2">
        <f>IF(C235&gt;0,(D31*C29+D35*C33+D39*C37+D43*C41)/C25,0)</f>
        <v>0</v>
      </c>
      <c r="E27" s="12">
        <f t="shared" si="0"/>
        <v>-23.5</v>
      </c>
      <c r="F27" s="12">
        <f t="shared" si="1"/>
        <v>0</v>
      </c>
    </row>
    <row r="28" spans="2:6" ht="12.75">
      <c r="B28" s="6"/>
      <c r="D28" s="2">
        <f>IF(C25&gt;0,(D32*C29+D36*C33+D40*C37+D44*C41)/C25,0)</f>
        <v>1.2307501241927472</v>
      </c>
      <c r="E28" s="12">
        <f t="shared" si="0"/>
        <v>-42</v>
      </c>
      <c r="F28" s="12">
        <f t="shared" si="1"/>
        <v>-2</v>
      </c>
    </row>
    <row r="29" spans="1:6" s="3" customFormat="1" ht="12.75">
      <c r="A29" s="3" t="s">
        <v>12</v>
      </c>
      <c r="B29" s="4"/>
      <c r="C29" s="5">
        <f>IF(B30&gt;0,(B27+B31)*B30/2,0)</f>
        <v>26</v>
      </c>
      <c r="D29" s="5">
        <f>(B27+B31)/2</f>
        <v>6.5</v>
      </c>
      <c r="E29" s="12">
        <f t="shared" si="0"/>
        <v>-43</v>
      </c>
      <c r="F29" s="12">
        <f t="shared" si="1"/>
        <v>-4</v>
      </c>
    </row>
    <row r="30" spans="1:6" ht="12.75">
      <c r="A30" s="1" t="s">
        <v>4</v>
      </c>
      <c r="B30" s="9">
        <v>4</v>
      </c>
      <c r="D30" s="2">
        <f>IF(OR(B27&gt;0,B31&gt;0),(B27+2*B31)/(3*B27+3*B31),0)</f>
        <v>0.5384615384615384</v>
      </c>
      <c r="E30" s="12">
        <f t="shared" si="0"/>
        <v>-43</v>
      </c>
      <c r="F30" s="12">
        <f t="shared" si="1"/>
        <v>-8</v>
      </c>
    </row>
    <row r="31" spans="1:6" ht="12.75">
      <c r="A31" s="1" t="s">
        <v>5</v>
      </c>
      <c r="B31" s="9">
        <v>8</v>
      </c>
      <c r="D31" s="2">
        <f>(D30*B31+(1-D30)*B27)</f>
        <v>6.615384615384615</v>
      </c>
      <c r="E31" s="12">
        <f t="shared" si="0"/>
        <v>-42</v>
      </c>
      <c r="F31" s="12">
        <f t="shared" si="1"/>
        <v>-8</v>
      </c>
    </row>
    <row r="32" spans="1:6" ht="12.75">
      <c r="A32" s="1" t="s">
        <v>6</v>
      </c>
      <c r="B32" s="9">
        <v>0</v>
      </c>
      <c r="D32" s="2">
        <f>B28+(D30*(B32-B28))</f>
        <v>0</v>
      </c>
      <c r="E32" s="12">
        <f t="shared" si="0"/>
        <v>-23.5</v>
      </c>
      <c r="F32" s="12">
        <f t="shared" si="1"/>
        <v>-9</v>
      </c>
    </row>
    <row r="33" spans="1:6" s="3" customFormat="1" ht="12" customHeight="1">
      <c r="A33" s="3" t="s">
        <v>13</v>
      </c>
      <c r="B33" s="4"/>
      <c r="C33" s="5">
        <f>IF(B34&gt;0,(B31+B35)*(B34-B30)/2,0)</f>
        <v>287</v>
      </c>
      <c r="D33" s="5">
        <f>(B31+B35)/2</f>
        <v>7</v>
      </c>
      <c r="E33" s="12">
        <f t="shared" si="0"/>
        <v>-10</v>
      </c>
      <c r="F33" s="12">
        <f t="shared" si="1"/>
        <v>-9.2</v>
      </c>
    </row>
    <row r="34" spans="1:6" ht="12.75">
      <c r="A34" s="1" t="s">
        <v>4</v>
      </c>
      <c r="B34" s="9">
        <v>45</v>
      </c>
      <c r="D34" s="2">
        <f>IF(OR(B31&gt;0,B35&gt;0),(B31+2*B35)/(3*B31+3*B35),0)</f>
        <v>0.47619047619047616</v>
      </c>
      <c r="E34" s="12">
        <f t="shared" si="0"/>
        <v>0</v>
      </c>
      <c r="F34" s="12">
        <f t="shared" si="1"/>
        <v>-9</v>
      </c>
    </row>
    <row r="35" spans="1:6" ht="12.75">
      <c r="A35" s="1" t="s">
        <v>5</v>
      </c>
      <c r="B35" s="9">
        <v>6</v>
      </c>
      <c r="D35" s="2">
        <f>(D34*B35+(1-D34)*B31)</f>
        <v>7.0476190476190474</v>
      </c>
      <c r="E35" s="12">
        <f t="shared" si="0"/>
        <v>0</v>
      </c>
      <c r="F35" s="12">
        <f t="shared" si="1"/>
        <v>-30</v>
      </c>
    </row>
    <row r="36" spans="1:6" ht="12.75">
      <c r="A36" s="1" t="s">
        <v>6</v>
      </c>
      <c r="B36" s="9">
        <v>2.5</v>
      </c>
      <c r="D36" s="2">
        <f>B32+(D34*(B36-B32))</f>
        <v>1.1904761904761905</v>
      </c>
      <c r="E36" s="12">
        <f t="shared" si="0"/>
        <v>-2</v>
      </c>
      <c r="F36" s="12">
        <f t="shared" si="1"/>
        <v>-30</v>
      </c>
    </row>
    <row r="37" spans="1:6" s="3" customFormat="1" ht="12.75">
      <c r="A37" s="3" t="s">
        <v>14</v>
      </c>
      <c r="B37" s="4"/>
      <c r="C37" s="5">
        <f>IF(B38&gt;0,(B35+B39)*(B38-B34)/2,0)</f>
        <v>22.5</v>
      </c>
      <c r="D37" s="5">
        <f>(B35+B39)/2</f>
        <v>4.5</v>
      </c>
      <c r="E37" s="12">
        <f t="shared" si="0"/>
        <v>-22.5</v>
      </c>
      <c r="F37" s="12">
        <f t="shared" si="1"/>
        <v>-32.5</v>
      </c>
    </row>
    <row r="38" spans="1:6" ht="12.75">
      <c r="A38" s="1" t="s">
        <v>4</v>
      </c>
      <c r="B38" s="9">
        <v>50</v>
      </c>
      <c r="D38" s="2">
        <f>IF(OR(B35&gt;0,B39&gt;0),(B35+2*B39)/(3*B35+3*B39),0)</f>
        <v>0.4444444444444444</v>
      </c>
      <c r="E38" s="12">
        <f t="shared" si="0"/>
        <v>-25</v>
      </c>
      <c r="F38" s="12">
        <f t="shared" si="1"/>
        <v>-34</v>
      </c>
    </row>
    <row r="39" spans="1:6" ht="12.75">
      <c r="A39" s="1" t="s">
        <v>5</v>
      </c>
      <c r="B39" s="9">
        <v>3</v>
      </c>
      <c r="D39" s="2">
        <f>(D38*B39+(1-D38)*B35)</f>
        <v>4.666666666666667</v>
      </c>
      <c r="E39" s="12">
        <f t="shared" si="0"/>
        <v>-25</v>
      </c>
      <c r="F39" s="12">
        <f t="shared" si="1"/>
        <v>-34</v>
      </c>
    </row>
    <row r="40" spans="1:6" ht="12.75">
      <c r="A40" s="1" t="s">
        <v>6</v>
      </c>
      <c r="B40" s="9">
        <v>4</v>
      </c>
      <c r="D40" s="2">
        <f>B36+(D38*(B40-B36))</f>
        <v>3.1666666666666665</v>
      </c>
      <c r="E40" s="12">
        <f>-E20</f>
        <v>-25</v>
      </c>
      <c r="F40" s="12">
        <f t="shared" si="1"/>
        <v>-37</v>
      </c>
    </row>
    <row r="41" spans="1:6" s="3" customFormat="1" ht="12.75">
      <c r="A41" s="3" t="s">
        <v>11</v>
      </c>
      <c r="B41" s="4"/>
      <c r="C41" s="5">
        <f>IF(B42&gt;0,(B39+B43)*(B42-B38)/2,0)</f>
        <v>0</v>
      </c>
      <c r="D41" s="5">
        <f>(B39+B43)/2</f>
        <v>1.5</v>
      </c>
      <c r="E41" s="12">
        <f t="shared" si="0"/>
        <v>-25</v>
      </c>
      <c r="F41" s="12">
        <f t="shared" si="1"/>
        <v>-37</v>
      </c>
    </row>
    <row r="42" spans="1:6" ht="12.75">
      <c r="A42" s="1" t="s">
        <v>4</v>
      </c>
      <c r="B42" s="9">
        <v>0</v>
      </c>
      <c r="D42" s="2">
        <f>IF(OR(B39&gt;0,B43&gt;0),(B39+2*B43)/(3*B39+3*B43),0)</f>
        <v>0.3333333333333333</v>
      </c>
      <c r="E42" s="12">
        <f t="shared" si="0"/>
        <v>-22.5</v>
      </c>
      <c r="F42" s="12">
        <f t="shared" si="1"/>
        <v>-38.5</v>
      </c>
    </row>
    <row r="43" spans="1:6" ht="12.75">
      <c r="A43" s="1" t="s">
        <v>5</v>
      </c>
      <c r="B43" s="9"/>
      <c r="D43" s="2">
        <f>(D42*B43+(1-D42)*B39)</f>
        <v>2</v>
      </c>
      <c r="E43" s="12">
        <f t="shared" si="0"/>
        <v>-2</v>
      </c>
      <c r="F43" s="12">
        <f t="shared" si="1"/>
        <v>-38</v>
      </c>
    </row>
    <row r="44" spans="1:6" ht="12.75">
      <c r="A44" s="1" t="s">
        <v>6</v>
      </c>
      <c r="B44" s="9"/>
      <c r="D44" s="2">
        <f>B40+(D42*(B44-B40))</f>
        <v>2.666666666666667</v>
      </c>
      <c r="E44" s="12">
        <f>-E24</f>
        <v>0</v>
      </c>
      <c r="F44" s="12">
        <f t="shared" si="1"/>
        <v>-35</v>
      </c>
    </row>
    <row r="45" ht="12.75">
      <c r="B45" s="7"/>
    </row>
    <row r="46" spans="1:6" s="3" customFormat="1" ht="12.75">
      <c r="A46" s="3" t="s">
        <v>8</v>
      </c>
      <c r="B46" s="8"/>
      <c r="C46" s="5"/>
      <c r="D46" s="5"/>
      <c r="E46" s="12"/>
      <c r="F46" s="12"/>
    </row>
    <row r="47" spans="1:4" ht="12.75">
      <c r="A47" s="1" t="s">
        <v>15</v>
      </c>
      <c r="B47" s="9">
        <v>30</v>
      </c>
      <c r="D47" s="2">
        <f>B47+D28+0.25*D27-D8-0.25*D7</f>
        <v>28.665936612581202</v>
      </c>
    </row>
    <row r="48" ht="12.75">
      <c r="A48" s="1" t="s">
        <v>10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Vintage1</dc:creator>
  <cp:keywords/>
  <dc:description/>
  <cp:lastModifiedBy>Leo Smith</cp:lastModifiedBy>
  <dcterms:created xsi:type="dcterms:W3CDTF">2006-03-09T12:23:02Z</dcterms:created>
  <dcterms:modified xsi:type="dcterms:W3CDTF">2006-03-10T20:00:18Z</dcterms:modified>
  <cp:category/>
  <cp:version/>
  <cp:contentType/>
  <cp:contentStatus/>
</cp:coreProperties>
</file>